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RD\Sigma Project\Transparency Portal\Economic Development Projects Tile\MEDC Reports for Update Requests\January 2020 Request\"/>
    </mc:Choice>
  </mc:AlternateContent>
  <xr:revisionPtr revIDLastSave="0" documentId="13_ncr:1_{5AA17DEC-9D67-49A2-879D-A7D2DF66E736}" xr6:coauthVersionLast="45" xr6:coauthVersionMax="45" xr10:uidLastSave="{00000000-0000-0000-0000-000000000000}"/>
  <bookViews>
    <workbookView xWindow="28680" yWindow="-120" windowWidth="29040" windowHeight="15840" xr2:uid="{9E17093C-4A44-4225-B5A9-D3FFF0A9A78F}"/>
  </bookViews>
  <sheets>
    <sheet name="Company Specif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  <c r="E40" i="1"/>
  <c r="E38" i="1"/>
  <c r="E37" i="1"/>
  <c r="E35" i="1"/>
  <c r="E32" i="1"/>
  <c r="E30" i="1"/>
  <c r="E28" i="1"/>
  <c r="E26" i="1"/>
  <c r="E23" i="1"/>
  <c r="E22" i="1"/>
  <c r="E21" i="1"/>
  <c r="E20" i="1"/>
  <c r="E16" i="1"/>
  <c r="E15" i="1"/>
  <c r="E14" i="1"/>
  <c r="E11" i="1"/>
  <c r="E10" i="1"/>
  <c r="E8" i="1"/>
  <c r="E7" i="1"/>
  <c r="E6" i="1"/>
  <c r="E5" i="1"/>
  <c r="E4" i="1"/>
  <c r="E2" i="1"/>
</calcChain>
</file>

<file path=xl/sharedStrings.xml><?xml version="1.0" encoding="utf-8"?>
<sst xmlns="http://schemas.openxmlformats.org/spreadsheetml/2006/main" count="202" uniqueCount="106">
  <si>
    <t>Subzone</t>
  </si>
  <si>
    <t>Community</t>
  </si>
  <si>
    <t>Company</t>
  </si>
  <si>
    <t>Required Investment</t>
  </si>
  <si>
    <t>Reported Actual Investment</t>
  </si>
  <si>
    <t xml:space="preserve">Projected Job Creation </t>
  </si>
  <si>
    <t xml:space="preserve">Projected Job Retention </t>
  </si>
  <si>
    <t>Reported Current Jobs</t>
  </si>
  <si>
    <t>Reported Jobs Transferred
to Zone</t>
  </si>
  <si>
    <t>Reported Baseline Jobs at Designation</t>
  </si>
  <si>
    <t>Reported Actual Job Creation</t>
  </si>
  <si>
    <t>Reported Avg Weekly Wage of Jobs Created</t>
  </si>
  <si>
    <t>% Change in Taxable Value (TV)</t>
  </si>
  <si>
    <t>% Change in SEV</t>
  </si>
  <si>
    <t>First Year Benefits Received</t>
  </si>
  <si>
    <t>Elisha Gray Enterprise Park</t>
  </si>
  <si>
    <t>Benton Charter Township</t>
  </si>
  <si>
    <t xml:space="preserve">Whirlpool Corp. </t>
  </si>
  <si>
    <t>Miller's Pond</t>
  </si>
  <si>
    <t>City of Benton Harbor</t>
  </si>
  <si>
    <t>Edgewater Redevelopment Area</t>
  </si>
  <si>
    <t>City of St. Joseph</t>
  </si>
  <si>
    <t>Lufkin Rule/Hess Avenue/Fairgrounds</t>
  </si>
  <si>
    <t>City of Saginaw</t>
  </si>
  <si>
    <t xml:space="preserve">Gateway Financial Services, Inc. </t>
  </si>
  <si>
    <t>Central Business District</t>
  </si>
  <si>
    <t>Hamilton Street Development, LLC (f/k/a SSP &amp; Associates, Inc.)    (Amended)</t>
  </si>
  <si>
    <t>Did Not Report</t>
  </si>
  <si>
    <t xml:space="preserve">Hausbeck Pickle Company </t>
  </si>
  <si>
    <t>Midwest Manufacturing</t>
  </si>
  <si>
    <t>Northeast Saginaw Subzone</t>
  </si>
  <si>
    <t xml:space="preserve">Saginaw Cooperative Hospitals, Inc. </t>
  </si>
  <si>
    <t>Production Engineering Subzone</t>
  </si>
  <si>
    <t>City of Jackson</t>
  </si>
  <si>
    <t>Anderton Machining, LLC</t>
  </si>
  <si>
    <t>Revoked</t>
  </si>
  <si>
    <t>Alro Steel Corporation - Plastics</t>
  </si>
  <si>
    <t>Southwest/Delray</t>
  </si>
  <si>
    <t>City of Detroit, Wayne County</t>
  </si>
  <si>
    <t>Bridgewater Interiors</t>
  </si>
  <si>
    <t>Livernois/Intervale</t>
  </si>
  <si>
    <t>City of Detroit</t>
  </si>
  <si>
    <r>
      <t>DCI Aerotech</t>
    </r>
    <r>
      <rPr>
        <vertAlign val="superscript"/>
        <sz val="11"/>
        <rFont val="Calibri"/>
        <family val="2"/>
        <scheme val="minor"/>
      </rPr>
      <t xml:space="preserve"> </t>
    </r>
  </si>
  <si>
    <t>Lynch Rd. Subzone</t>
  </si>
  <si>
    <t>Detroit Chassis, LLC</t>
  </si>
  <si>
    <t>PTDC Properties, LLC f/k/a Peerless Metal Powders &amp; Abrasives</t>
  </si>
  <si>
    <t>Waterfront Petroleum Terminal Company</t>
  </si>
  <si>
    <t>Downtown-Office-Retail</t>
  </si>
  <si>
    <t>City of Flint</t>
  </si>
  <si>
    <t xml:space="preserve">500 Block, LLC </t>
  </si>
  <si>
    <t xml:space="preserve">Baker Uptown, LLC </t>
  </si>
  <si>
    <t xml:space="preserve">Community First, LLC </t>
  </si>
  <si>
    <t>Historic-Industrial-Housing</t>
  </si>
  <si>
    <t>River City Developments, LLC and Rogers Foam Corporation</t>
  </si>
  <si>
    <t xml:space="preserve">General Motors </t>
  </si>
  <si>
    <t>Great Lakes Medical Complex</t>
  </si>
  <si>
    <t xml:space="preserve">IINN, Inc. </t>
  </si>
  <si>
    <t xml:space="preserve">Diplomat Specialty Pharmacy, LLC </t>
  </si>
  <si>
    <t xml:space="preserve">Furniture Center </t>
  </si>
  <si>
    <t>City of Grand Rapids</t>
  </si>
  <si>
    <t xml:space="preserve">607 Dewey, LLC (True North) </t>
  </si>
  <si>
    <t>Furniture Center</t>
  </si>
  <si>
    <t xml:space="preserve">American Seating </t>
  </si>
  <si>
    <t>Did Not Report - No Reporting Requirements</t>
  </si>
  <si>
    <t xml:space="preserve">Hotel Holdings Monroe </t>
  </si>
  <si>
    <t xml:space="preserve">Seventh Street Properties, LLC </t>
  </si>
  <si>
    <t>Grandville</t>
  </si>
  <si>
    <t xml:space="preserve">Intrepid Web, LLC </t>
  </si>
  <si>
    <t>Wealthy-Eastern-Franklin</t>
  </si>
  <si>
    <t xml:space="preserve">Wealthy Street Historic Development, LLC </t>
  </si>
  <si>
    <t>Ottawa Station</t>
  </si>
  <si>
    <t>City of Lansing</t>
  </si>
  <si>
    <t xml:space="preserve">Phoenix Development Partners, LLC &amp; Accident Fund </t>
  </si>
  <si>
    <t>Knapp's Centre</t>
  </si>
  <si>
    <t xml:space="preserve">Eyde Knapp Development, LLC </t>
  </si>
  <si>
    <t>Midlink Business Park</t>
  </si>
  <si>
    <t>Township of Comstock</t>
  </si>
  <si>
    <t xml:space="preserve">Kaiser Aluminum Fabricated Products, LLC </t>
  </si>
  <si>
    <t>BC Tower</t>
  </si>
  <si>
    <t>City of Battle Creek</t>
  </si>
  <si>
    <t xml:space="preserve">The Hinman Company </t>
  </si>
  <si>
    <t>Eastlake/ Filer/Manistee and Eastlake/Filer/ Manistee II</t>
  </si>
  <si>
    <t>City of Manistee</t>
  </si>
  <si>
    <t>American Materials (Reith 
Riley)</t>
  </si>
  <si>
    <t>City of Carson City</t>
  </si>
  <si>
    <t>Carson City</t>
  </si>
  <si>
    <t xml:space="preserve">DTE Electric Company </t>
  </si>
  <si>
    <t>Village of Edmore</t>
  </si>
  <si>
    <t>Specialty Lifting Equipment, Inc.</t>
  </si>
  <si>
    <t>Muskegon Mall/Rook Project</t>
  </si>
  <si>
    <t>City of Muskegon</t>
  </si>
  <si>
    <t xml:space="preserve">Parkland Muskegon, LLC </t>
  </si>
  <si>
    <t>Former Muskegon Mall</t>
  </si>
  <si>
    <t xml:space="preserve">Heritage Square Development, LLC </t>
  </si>
  <si>
    <t>Midtown Hospital Campus</t>
  </si>
  <si>
    <t>Wayne County</t>
  </si>
  <si>
    <t xml:space="preserve">VHS of Michigan, Inc. (Vanguard/DMC) </t>
  </si>
  <si>
    <t>Did Not Report - Company in Default</t>
  </si>
  <si>
    <t>Woodward Avenue (Old Hudson's Bldg.)</t>
  </si>
  <si>
    <t xml:space="preserve">1208 Woodward, LLC </t>
  </si>
  <si>
    <t>K.I. Sawyer</t>
  </si>
  <si>
    <t>Township of Forsyth</t>
  </si>
  <si>
    <t xml:space="preserve">Frontier Medical Devices, Inc. </t>
  </si>
  <si>
    <t>National Carbon Technologies</t>
  </si>
  <si>
    <t>Next Michigan Development Corporation</t>
  </si>
  <si>
    <t xml:space="preserve">Flex-N-Gate Detroit, LLC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</si>
</sst>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#,##0.0"/>
    <numFmt numFmtId="167" formatCode="#,##0.0_);\(#,##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166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7" fontId="3" fillId="0" borderId="1" xfId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1" xfId="2" applyNumberFormat="1" applyFont="1" applyBorder="1" applyAlignment="1">
      <alignment horizontal="center" vertical="center" wrapText="1"/>
    </xf>
    <xf numFmtId="1" fontId="3" fillId="0" borderId="1" xfId="3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4" fontId="3" fillId="0" borderId="1" xfId="0" applyNumberFormat="1" applyFont="1" applyBorder="1"/>
    <xf numFmtId="37" fontId="3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6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F5C4-E739-4F5F-8356-1C97558C5949}">
  <sheetPr>
    <tabColor rgb="FF00B050"/>
    <pageSetUpPr fitToPage="1"/>
  </sheetPr>
  <dimension ref="A1:P43"/>
  <sheetViews>
    <sheetView showGridLines="0" tabSelected="1" zoomScaleNormal="100" workbookViewId="0"/>
  </sheetViews>
  <sheetFormatPr defaultColWidth="9.140625" defaultRowHeight="15" x14ac:dyDescent="0.25"/>
  <cols>
    <col min="1" max="1" width="31.7109375" style="3" customWidth="1"/>
    <col min="2" max="2" width="25.7109375" style="3" customWidth="1"/>
    <col min="3" max="3" width="29.140625" style="3" customWidth="1"/>
    <col min="4" max="14" width="20.85546875" style="39" customWidth="1"/>
    <col min="15" max="16384" width="9.140625" style="3"/>
  </cols>
  <sheetData>
    <row r="1" spans="1:16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x14ac:dyDescent="0.25">
      <c r="A2" s="4" t="s">
        <v>15</v>
      </c>
      <c r="B2" s="5" t="s">
        <v>16</v>
      </c>
      <c r="C2" s="6" t="s">
        <v>17</v>
      </c>
      <c r="D2" s="7">
        <v>21538996</v>
      </c>
      <c r="E2" s="8">
        <f>SUM(32685729+842014+306112)</f>
        <v>33833855</v>
      </c>
      <c r="F2" s="9">
        <v>0</v>
      </c>
      <c r="G2" s="9">
        <v>0</v>
      </c>
      <c r="H2" s="9">
        <v>443</v>
      </c>
      <c r="I2" s="9">
        <v>100</v>
      </c>
      <c r="J2" s="9">
        <v>0</v>
      </c>
      <c r="K2" s="9">
        <v>343</v>
      </c>
      <c r="L2" s="7">
        <v>794</v>
      </c>
      <c r="M2" s="10">
        <v>-6.0999999999999999E-2</v>
      </c>
      <c r="N2" s="11">
        <v>-4.7</v>
      </c>
      <c r="O2" s="12">
        <v>40544</v>
      </c>
      <c r="P2" s="13"/>
    </row>
    <row r="3" spans="1:16" x14ac:dyDescent="0.25">
      <c r="A3" s="4" t="s">
        <v>18</v>
      </c>
      <c r="B3" s="14" t="s">
        <v>19</v>
      </c>
      <c r="C3" s="6" t="s">
        <v>17</v>
      </c>
      <c r="D3" s="7">
        <v>65325843</v>
      </c>
      <c r="E3" s="8">
        <v>91596394</v>
      </c>
      <c r="F3" s="9">
        <v>0</v>
      </c>
      <c r="G3" s="9">
        <v>0</v>
      </c>
      <c r="H3" s="9">
        <v>850</v>
      </c>
      <c r="I3" s="9">
        <v>431</v>
      </c>
      <c r="J3" s="9">
        <v>0</v>
      </c>
      <c r="K3" s="9">
        <v>419</v>
      </c>
      <c r="L3" s="8">
        <v>1825</v>
      </c>
      <c r="M3" s="11">
        <v>14.38</v>
      </c>
      <c r="N3" s="9">
        <v>22.42</v>
      </c>
      <c r="O3" s="12">
        <v>40544</v>
      </c>
    </row>
    <row r="4" spans="1:16" x14ac:dyDescent="0.25">
      <c r="A4" s="15" t="s">
        <v>20</v>
      </c>
      <c r="B4" s="14" t="s">
        <v>21</v>
      </c>
      <c r="C4" s="6" t="s">
        <v>17</v>
      </c>
      <c r="D4" s="7">
        <v>175000</v>
      </c>
      <c r="E4" s="8">
        <f>SUM(83184441+720690+2265477)</f>
        <v>86170608</v>
      </c>
      <c r="F4" s="9">
        <v>0</v>
      </c>
      <c r="G4" s="9">
        <v>0</v>
      </c>
      <c r="H4" s="16">
        <v>606</v>
      </c>
      <c r="I4" s="9">
        <v>100</v>
      </c>
      <c r="J4" s="9">
        <v>0</v>
      </c>
      <c r="K4" s="9">
        <v>506</v>
      </c>
      <c r="L4" s="8">
        <v>1778</v>
      </c>
      <c r="M4" s="11">
        <v>-46.18</v>
      </c>
      <c r="N4" s="9">
        <v>-43.22</v>
      </c>
      <c r="O4" s="12">
        <v>40544</v>
      </c>
    </row>
    <row r="5" spans="1:16" ht="30" x14ac:dyDescent="0.25">
      <c r="A5" s="17" t="s">
        <v>22</v>
      </c>
      <c r="B5" s="17" t="s">
        <v>23</v>
      </c>
      <c r="C5" s="18" t="s">
        <v>24</v>
      </c>
      <c r="D5" s="19">
        <v>1800000</v>
      </c>
      <c r="E5" s="20">
        <f>SUM(3144577.33+101903.46)</f>
        <v>3246480.79</v>
      </c>
      <c r="F5" s="9">
        <v>30</v>
      </c>
      <c r="G5" s="9">
        <v>0</v>
      </c>
      <c r="H5" s="9">
        <v>142</v>
      </c>
      <c r="I5" s="9">
        <v>0</v>
      </c>
      <c r="J5" s="9">
        <v>59</v>
      </c>
      <c r="K5" s="9">
        <v>83</v>
      </c>
      <c r="L5" s="19">
        <v>862</v>
      </c>
      <c r="M5" s="21">
        <v>-60.5</v>
      </c>
      <c r="N5" s="21">
        <v>-60.5</v>
      </c>
      <c r="O5" s="22">
        <v>40544</v>
      </c>
    </row>
    <row r="6" spans="1:16" ht="45" x14ac:dyDescent="0.25">
      <c r="A6" s="17" t="s">
        <v>25</v>
      </c>
      <c r="B6" s="17" t="s">
        <v>23</v>
      </c>
      <c r="C6" s="18" t="s">
        <v>26</v>
      </c>
      <c r="D6" s="19">
        <v>6148000</v>
      </c>
      <c r="E6" s="19">
        <f>SUM(5824669+2338479)</f>
        <v>8163148</v>
      </c>
      <c r="F6" s="9">
        <v>12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19">
        <v>0</v>
      </c>
      <c r="M6" s="21" t="s">
        <v>27</v>
      </c>
      <c r="N6" s="21" t="s">
        <v>27</v>
      </c>
      <c r="O6" s="22">
        <v>40909</v>
      </c>
    </row>
    <row r="7" spans="1:16" x14ac:dyDescent="0.25">
      <c r="A7" s="17" t="s">
        <v>25</v>
      </c>
      <c r="B7" s="17" t="s">
        <v>23</v>
      </c>
      <c r="C7" s="18" t="s">
        <v>28</v>
      </c>
      <c r="D7" s="19">
        <v>1500000</v>
      </c>
      <c r="E7" s="19">
        <f>SUM(3942213+5723)</f>
        <v>3947936</v>
      </c>
      <c r="F7" s="9">
        <v>0</v>
      </c>
      <c r="G7" s="9">
        <v>0</v>
      </c>
      <c r="H7" s="9">
        <v>2</v>
      </c>
      <c r="I7" s="9">
        <v>0</v>
      </c>
      <c r="J7" s="9">
        <v>38</v>
      </c>
      <c r="K7" s="9">
        <v>-36</v>
      </c>
      <c r="L7" s="7">
        <v>0</v>
      </c>
      <c r="M7" s="23">
        <v>650.99</v>
      </c>
      <c r="N7" s="21">
        <v>651</v>
      </c>
      <c r="O7" s="22">
        <v>40544</v>
      </c>
    </row>
    <row r="8" spans="1:16" x14ac:dyDescent="0.25">
      <c r="A8" s="17" t="s">
        <v>25</v>
      </c>
      <c r="B8" s="17" t="s">
        <v>23</v>
      </c>
      <c r="C8" s="18" t="s">
        <v>29</v>
      </c>
      <c r="D8" s="19">
        <v>5700000</v>
      </c>
      <c r="E8" s="19">
        <f>SUM(20334097+9530+215641)</f>
        <v>20559268</v>
      </c>
      <c r="F8" s="9">
        <v>25</v>
      </c>
      <c r="G8" s="9">
        <v>0</v>
      </c>
      <c r="H8" s="9">
        <v>77</v>
      </c>
      <c r="I8" s="9">
        <v>0</v>
      </c>
      <c r="J8" s="9">
        <v>0</v>
      </c>
      <c r="K8" s="9">
        <v>77</v>
      </c>
      <c r="L8" s="19">
        <v>673</v>
      </c>
      <c r="M8" s="21">
        <v>92.48</v>
      </c>
      <c r="N8" s="21">
        <v>284.95999999999998</v>
      </c>
      <c r="O8" s="22">
        <v>40544</v>
      </c>
    </row>
    <row r="9" spans="1:16" ht="30" x14ac:dyDescent="0.25">
      <c r="A9" s="24" t="s">
        <v>30</v>
      </c>
      <c r="B9" s="24" t="s">
        <v>23</v>
      </c>
      <c r="C9" s="18" t="s">
        <v>31</v>
      </c>
      <c r="D9" s="19">
        <v>1500000</v>
      </c>
      <c r="E9" s="19">
        <v>2355786</v>
      </c>
      <c r="F9" s="9">
        <v>10</v>
      </c>
      <c r="G9" s="9">
        <v>0</v>
      </c>
      <c r="H9" s="9">
        <v>43</v>
      </c>
      <c r="I9" s="9">
        <v>0</v>
      </c>
      <c r="J9" s="9">
        <v>27</v>
      </c>
      <c r="K9" s="9">
        <v>16</v>
      </c>
      <c r="L9" s="7">
        <v>947.09</v>
      </c>
      <c r="M9" s="23">
        <v>1222.08</v>
      </c>
      <c r="N9" s="21">
        <v>1222.08</v>
      </c>
      <c r="O9" s="22">
        <v>40544</v>
      </c>
    </row>
    <row r="10" spans="1:16" x14ac:dyDescent="0.25">
      <c r="A10" s="24" t="s">
        <v>32</v>
      </c>
      <c r="B10" s="25" t="s">
        <v>33</v>
      </c>
      <c r="C10" s="18" t="s">
        <v>34</v>
      </c>
      <c r="D10" s="19">
        <v>0</v>
      </c>
      <c r="E10" s="19">
        <f>SUM(322782+51009)</f>
        <v>373791</v>
      </c>
      <c r="F10" s="16" t="s">
        <v>35</v>
      </c>
      <c r="G10" s="16" t="s">
        <v>35</v>
      </c>
      <c r="H10" s="16" t="s">
        <v>35</v>
      </c>
      <c r="I10" s="16" t="s">
        <v>35</v>
      </c>
      <c r="J10" s="16" t="s">
        <v>35</v>
      </c>
      <c r="K10" s="16" t="s">
        <v>35</v>
      </c>
      <c r="L10" s="16" t="s">
        <v>35</v>
      </c>
      <c r="M10" s="16" t="s">
        <v>35</v>
      </c>
      <c r="N10" s="16" t="s">
        <v>35</v>
      </c>
      <c r="O10" s="12">
        <v>42370</v>
      </c>
    </row>
    <row r="11" spans="1:16" ht="30" x14ac:dyDescent="0.25">
      <c r="A11" s="17" t="s">
        <v>32</v>
      </c>
      <c r="B11" s="25" t="s">
        <v>33</v>
      </c>
      <c r="C11" s="18" t="s">
        <v>36</v>
      </c>
      <c r="D11" s="19">
        <v>1800000</v>
      </c>
      <c r="E11" s="19">
        <f>SUM(4082411.73+2226075+1856337)</f>
        <v>8164823.7300000004</v>
      </c>
      <c r="F11" s="9">
        <v>10</v>
      </c>
      <c r="G11" s="9">
        <v>0</v>
      </c>
      <c r="H11" s="9">
        <v>67</v>
      </c>
      <c r="I11" s="9">
        <v>0</v>
      </c>
      <c r="J11" s="9">
        <v>31</v>
      </c>
      <c r="K11" s="9">
        <v>36</v>
      </c>
      <c r="L11" s="19">
        <v>761</v>
      </c>
      <c r="M11" s="26">
        <v>2059.3000000000002</v>
      </c>
      <c r="N11" s="26">
        <v>2059.3000000000002</v>
      </c>
      <c r="O11" s="12">
        <v>41275</v>
      </c>
    </row>
    <row r="12" spans="1:16" ht="30" x14ac:dyDescent="0.25">
      <c r="A12" s="5" t="s">
        <v>37</v>
      </c>
      <c r="B12" s="6" t="s">
        <v>38</v>
      </c>
      <c r="C12" s="27" t="s">
        <v>39</v>
      </c>
      <c r="D12" s="19">
        <v>2700000</v>
      </c>
      <c r="E12" s="19">
        <v>12717648</v>
      </c>
      <c r="F12" s="9">
        <v>17</v>
      </c>
      <c r="G12" s="9">
        <v>282</v>
      </c>
      <c r="H12" s="9">
        <v>171</v>
      </c>
      <c r="I12" s="9">
        <v>0</v>
      </c>
      <c r="J12" s="28">
        <v>142</v>
      </c>
      <c r="K12" s="29">
        <v>29</v>
      </c>
      <c r="L12" s="19">
        <v>793</v>
      </c>
      <c r="M12" s="11">
        <v>-76.62</v>
      </c>
      <c r="N12" s="11">
        <v>-76.819999999999993</v>
      </c>
      <c r="O12" s="12">
        <v>40544</v>
      </c>
    </row>
    <row r="13" spans="1:16" ht="17.25" x14ac:dyDescent="0.25">
      <c r="A13" s="4" t="s">
        <v>40</v>
      </c>
      <c r="B13" s="6" t="s">
        <v>41</v>
      </c>
      <c r="C13" s="27" t="s">
        <v>42</v>
      </c>
      <c r="D13" s="19">
        <v>5000000</v>
      </c>
      <c r="E13" s="19">
        <v>10314469.16</v>
      </c>
      <c r="F13" s="9">
        <v>20</v>
      </c>
      <c r="G13" s="9">
        <v>44</v>
      </c>
      <c r="H13" s="9">
        <v>74</v>
      </c>
      <c r="I13" s="9">
        <v>0</v>
      </c>
      <c r="J13" s="28">
        <v>44</v>
      </c>
      <c r="K13" s="29">
        <v>30</v>
      </c>
      <c r="L13" s="19">
        <v>18</v>
      </c>
      <c r="M13" s="11">
        <v>426.96</v>
      </c>
      <c r="N13" s="11">
        <v>465.41</v>
      </c>
      <c r="O13" s="12">
        <v>40179</v>
      </c>
    </row>
    <row r="14" spans="1:16" ht="30" x14ac:dyDescent="0.25">
      <c r="A14" s="4" t="s">
        <v>43</v>
      </c>
      <c r="B14" s="6" t="s">
        <v>38</v>
      </c>
      <c r="C14" s="27" t="s">
        <v>44</v>
      </c>
      <c r="D14" s="19">
        <v>2000000</v>
      </c>
      <c r="E14" s="19">
        <f>SUM(3653,737+174921.77)</f>
        <v>179311.77</v>
      </c>
      <c r="F14" s="9">
        <v>80</v>
      </c>
      <c r="G14" s="9">
        <v>80</v>
      </c>
      <c r="H14" s="9">
        <v>246</v>
      </c>
      <c r="I14" s="9">
        <v>207</v>
      </c>
      <c r="J14" s="28">
        <v>80</v>
      </c>
      <c r="K14" s="30">
        <v>-41</v>
      </c>
      <c r="L14" s="19">
        <v>650</v>
      </c>
      <c r="M14" s="11">
        <v>-23.89</v>
      </c>
      <c r="N14" s="11">
        <v>-14.36</v>
      </c>
      <c r="O14" s="12">
        <v>40179</v>
      </c>
    </row>
    <row r="15" spans="1:16" ht="45" x14ac:dyDescent="0.25">
      <c r="A15" s="4" t="s">
        <v>37</v>
      </c>
      <c r="B15" s="6" t="s">
        <v>38</v>
      </c>
      <c r="C15" s="31" t="s">
        <v>45</v>
      </c>
      <c r="D15" s="19">
        <v>1200000</v>
      </c>
      <c r="E15" s="19">
        <f>SUM(1745852.73+134935)</f>
        <v>1880787.73</v>
      </c>
      <c r="F15" s="9">
        <v>11</v>
      </c>
      <c r="G15" s="9">
        <v>0</v>
      </c>
      <c r="H15" s="9">
        <v>31</v>
      </c>
      <c r="I15" s="9">
        <v>0</v>
      </c>
      <c r="J15" s="28">
        <v>32</v>
      </c>
      <c r="K15" s="30">
        <v>-1</v>
      </c>
      <c r="L15" s="19">
        <v>569</v>
      </c>
      <c r="M15" s="11">
        <v>-75.430000000000007</v>
      </c>
      <c r="N15" s="11">
        <v>-75.47</v>
      </c>
      <c r="O15" s="12">
        <v>40909</v>
      </c>
    </row>
    <row r="16" spans="1:16" ht="30" x14ac:dyDescent="0.25">
      <c r="A16" s="4" t="s">
        <v>37</v>
      </c>
      <c r="B16" s="6" t="s">
        <v>38</v>
      </c>
      <c r="C16" s="31" t="s">
        <v>46</v>
      </c>
      <c r="D16" s="19">
        <v>2668500</v>
      </c>
      <c r="E16" s="19">
        <f>SUM(3435435.46+786449.78)</f>
        <v>4221885.24</v>
      </c>
      <c r="F16" s="9">
        <v>5</v>
      </c>
      <c r="G16" s="9">
        <v>0</v>
      </c>
      <c r="H16" s="9">
        <v>22</v>
      </c>
      <c r="I16" s="9">
        <v>2</v>
      </c>
      <c r="J16" s="28">
        <v>7</v>
      </c>
      <c r="K16" s="30">
        <v>13</v>
      </c>
      <c r="L16" s="19">
        <v>1539</v>
      </c>
      <c r="M16" s="11">
        <v>-13.88</v>
      </c>
      <c r="N16" s="11">
        <v>-13.88</v>
      </c>
      <c r="O16" s="12">
        <v>40909</v>
      </c>
    </row>
    <row r="17" spans="1:15" x14ac:dyDescent="0.25">
      <c r="A17" s="17" t="s">
        <v>47</v>
      </c>
      <c r="B17" s="17" t="s">
        <v>48</v>
      </c>
      <c r="C17" s="17" t="s">
        <v>49</v>
      </c>
      <c r="D17" s="8">
        <v>20000000</v>
      </c>
      <c r="E17" s="19">
        <v>21295988</v>
      </c>
      <c r="F17" s="32">
        <v>0</v>
      </c>
      <c r="G17" s="32">
        <v>0</v>
      </c>
      <c r="H17" s="32">
        <v>20</v>
      </c>
      <c r="I17" s="32">
        <v>0</v>
      </c>
      <c r="J17" s="32">
        <v>0</v>
      </c>
      <c r="K17" s="32">
        <v>20</v>
      </c>
      <c r="L17" s="19">
        <v>1500</v>
      </c>
      <c r="M17" s="11">
        <v>374.3</v>
      </c>
      <c r="N17" s="11">
        <v>374.3</v>
      </c>
      <c r="O17" s="33">
        <v>39814</v>
      </c>
    </row>
    <row r="18" spans="1:15" x14ac:dyDescent="0.25">
      <c r="A18" s="17" t="s">
        <v>47</v>
      </c>
      <c r="B18" s="17" t="s">
        <v>48</v>
      </c>
      <c r="C18" s="17" t="s">
        <v>50</v>
      </c>
      <c r="D18" s="8">
        <v>5200000</v>
      </c>
      <c r="E18" s="19">
        <v>5300000</v>
      </c>
      <c r="F18" s="32">
        <v>42</v>
      </c>
      <c r="G18" s="32">
        <v>35</v>
      </c>
      <c r="H18" s="32">
        <v>0</v>
      </c>
      <c r="I18" s="32">
        <v>0</v>
      </c>
      <c r="J18" s="32">
        <v>0</v>
      </c>
      <c r="K18" s="32">
        <v>0</v>
      </c>
      <c r="L18" s="19">
        <v>0</v>
      </c>
      <c r="M18" s="11">
        <v>59.98</v>
      </c>
      <c r="N18" s="11">
        <v>60</v>
      </c>
      <c r="O18" s="33">
        <v>39814</v>
      </c>
    </row>
    <row r="19" spans="1:15" x14ac:dyDescent="0.25">
      <c r="A19" s="17" t="s">
        <v>47</v>
      </c>
      <c r="B19" s="17" t="s">
        <v>48</v>
      </c>
      <c r="C19" s="17" t="s">
        <v>51</v>
      </c>
      <c r="D19" s="8">
        <v>3000000</v>
      </c>
      <c r="E19" s="19">
        <v>3352000</v>
      </c>
      <c r="F19" s="32">
        <v>0</v>
      </c>
      <c r="G19" s="32">
        <v>0</v>
      </c>
      <c r="H19" s="32">
        <v>34</v>
      </c>
      <c r="I19" s="32">
        <v>0</v>
      </c>
      <c r="J19" s="32">
        <v>0</v>
      </c>
      <c r="K19" s="32">
        <v>34</v>
      </c>
      <c r="L19" s="19">
        <v>0</v>
      </c>
      <c r="M19" s="11">
        <v>108.9</v>
      </c>
      <c r="N19" s="11">
        <v>108.9</v>
      </c>
      <c r="O19" s="33">
        <v>39814</v>
      </c>
    </row>
    <row r="20" spans="1:15" ht="30" x14ac:dyDescent="0.25">
      <c r="A20" s="17" t="s">
        <v>52</v>
      </c>
      <c r="B20" s="17" t="s">
        <v>48</v>
      </c>
      <c r="C20" s="17" t="s">
        <v>53</v>
      </c>
      <c r="D20" s="8">
        <v>100000</v>
      </c>
      <c r="E20" s="19">
        <f>SUM(2398047+10000+154000)</f>
        <v>2562047</v>
      </c>
      <c r="F20" s="32">
        <v>15</v>
      </c>
      <c r="G20" s="32">
        <v>0</v>
      </c>
      <c r="H20" s="32">
        <v>9</v>
      </c>
      <c r="I20" s="32">
        <v>0</v>
      </c>
      <c r="J20" s="32">
        <v>0</v>
      </c>
      <c r="K20" s="32">
        <v>9</v>
      </c>
      <c r="L20" s="19">
        <v>800</v>
      </c>
      <c r="M20" s="11">
        <v>167.52</v>
      </c>
      <c r="N20" s="11">
        <v>160.09</v>
      </c>
      <c r="O20" s="33">
        <v>39814</v>
      </c>
    </row>
    <row r="21" spans="1:15" x14ac:dyDescent="0.25">
      <c r="A21" s="17" t="s">
        <v>52</v>
      </c>
      <c r="B21" s="17" t="s">
        <v>48</v>
      </c>
      <c r="C21" s="17" t="s">
        <v>54</v>
      </c>
      <c r="D21" s="8">
        <v>5000000</v>
      </c>
      <c r="E21" s="19">
        <f>SUM(35412650+1362267)</f>
        <v>36774917</v>
      </c>
      <c r="F21" s="32">
        <v>0</v>
      </c>
      <c r="G21" s="32">
        <v>267</v>
      </c>
      <c r="H21" s="32">
        <v>358</v>
      </c>
      <c r="I21" s="32">
        <v>69</v>
      </c>
      <c r="J21" s="32">
        <v>267</v>
      </c>
      <c r="K21" s="32">
        <v>160</v>
      </c>
      <c r="L21" s="19">
        <v>1472</v>
      </c>
      <c r="M21" s="11">
        <v>-85.77</v>
      </c>
      <c r="N21" s="11">
        <v>-83.06</v>
      </c>
      <c r="O21" s="33">
        <v>39814</v>
      </c>
    </row>
    <row r="22" spans="1:15" x14ac:dyDescent="0.25">
      <c r="A22" s="17" t="s">
        <v>55</v>
      </c>
      <c r="B22" s="17" t="s">
        <v>48</v>
      </c>
      <c r="C22" s="17" t="s">
        <v>56</v>
      </c>
      <c r="D22" s="8">
        <v>18000000</v>
      </c>
      <c r="E22" s="20">
        <f>SUM(9482938.64+51000)</f>
        <v>9533938.6400000006</v>
      </c>
      <c r="F22" s="32">
        <v>100</v>
      </c>
      <c r="G22" s="32">
        <v>20</v>
      </c>
      <c r="H22" s="32">
        <v>185</v>
      </c>
      <c r="I22" s="32">
        <v>0</v>
      </c>
      <c r="J22" s="32">
        <v>20</v>
      </c>
      <c r="K22" s="32">
        <v>165</v>
      </c>
      <c r="L22" s="19">
        <v>708</v>
      </c>
      <c r="M22" s="11" t="s">
        <v>27</v>
      </c>
      <c r="N22" s="11" t="s">
        <v>27</v>
      </c>
      <c r="O22" s="33">
        <v>40544</v>
      </c>
    </row>
    <row r="23" spans="1:15" ht="30" x14ac:dyDescent="0.25">
      <c r="A23" s="24" t="s">
        <v>55</v>
      </c>
      <c r="B23" s="17" t="s">
        <v>48</v>
      </c>
      <c r="C23" s="17" t="s">
        <v>57</v>
      </c>
      <c r="D23" s="8">
        <v>9900000</v>
      </c>
      <c r="E23" s="20">
        <f>SUM(17095220+751966)</f>
        <v>17847186</v>
      </c>
      <c r="F23" s="34">
        <v>1039</v>
      </c>
      <c r="G23" s="34">
        <v>269</v>
      </c>
      <c r="H23" s="34">
        <v>1055</v>
      </c>
      <c r="I23" s="32">
        <v>27</v>
      </c>
      <c r="J23" s="32">
        <v>269</v>
      </c>
      <c r="K23" s="32">
        <v>759</v>
      </c>
      <c r="L23" s="19">
        <v>808</v>
      </c>
      <c r="M23" s="11" t="s">
        <v>27</v>
      </c>
      <c r="N23" s="11" t="s">
        <v>27</v>
      </c>
      <c r="O23" s="33">
        <v>40544</v>
      </c>
    </row>
    <row r="24" spans="1:15" x14ac:dyDescent="0.25">
      <c r="A24" s="17" t="s">
        <v>58</v>
      </c>
      <c r="B24" s="18" t="s">
        <v>59</v>
      </c>
      <c r="C24" s="18" t="s">
        <v>60</v>
      </c>
      <c r="D24" s="19">
        <v>1900000</v>
      </c>
      <c r="E24" s="19">
        <v>1987898.23</v>
      </c>
      <c r="F24" s="9">
        <v>0</v>
      </c>
      <c r="G24" s="9">
        <v>0</v>
      </c>
      <c r="H24" s="9">
        <v>44</v>
      </c>
      <c r="I24" s="16">
        <v>42</v>
      </c>
      <c r="J24" s="30">
        <v>0</v>
      </c>
      <c r="K24" s="9">
        <v>2</v>
      </c>
      <c r="L24" s="19">
        <v>1300</v>
      </c>
      <c r="M24" s="11">
        <v>746.41</v>
      </c>
      <c r="N24" s="11">
        <v>584.80999999999995</v>
      </c>
      <c r="O24" s="12">
        <v>40179</v>
      </c>
    </row>
    <row r="25" spans="1:15" ht="45" x14ac:dyDescent="0.25">
      <c r="A25" s="17" t="s">
        <v>61</v>
      </c>
      <c r="B25" s="17" t="s">
        <v>59</v>
      </c>
      <c r="C25" s="17" t="s">
        <v>62</v>
      </c>
      <c r="D25" s="19" t="s">
        <v>63</v>
      </c>
      <c r="E25" s="19" t="s">
        <v>63</v>
      </c>
      <c r="F25" s="19" t="s">
        <v>63</v>
      </c>
      <c r="G25" s="19" t="s">
        <v>63</v>
      </c>
      <c r="H25" s="19" t="s">
        <v>63</v>
      </c>
      <c r="I25" s="19" t="s">
        <v>63</v>
      </c>
      <c r="J25" s="19" t="s">
        <v>63</v>
      </c>
      <c r="K25" s="19" t="s">
        <v>63</v>
      </c>
      <c r="L25" s="19" t="s">
        <v>63</v>
      </c>
      <c r="M25" s="19" t="s">
        <v>63</v>
      </c>
      <c r="N25" s="19" t="s">
        <v>63</v>
      </c>
      <c r="O25" s="12">
        <v>39814</v>
      </c>
    </row>
    <row r="26" spans="1:15" x14ac:dyDescent="0.25">
      <c r="A26" s="17" t="s">
        <v>61</v>
      </c>
      <c r="B26" s="17" t="s">
        <v>59</v>
      </c>
      <c r="C26" s="17" t="s">
        <v>64</v>
      </c>
      <c r="D26" s="19">
        <v>0</v>
      </c>
      <c r="E26" s="19">
        <f>SUM(17166714.07+30363824+5163646)</f>
        <v>52694184.07</v>
      </c>
      <c r="F26" s="9">
        <v>0</v>
      </c>
      <c r="G26" s="9">
        <v>0</v>
      </c>
      <c r="H26" s="9">
        <v>11</v>
      </c>
      <c r="I26" s="9">
        <v>2</v>
      </c>
      <c r="J26" s="30">
        <v>0</v>
      </c>
      <c r="K26" s="9">
        <v>9</v>
      </c>
      <c r="L26" s="19">
        <v>407</v>
      </c>
      <c r="M26" s="11">
        <v>2897.12</v>
      </c>
      <c r="N26" s="11">
        <v>2607.25</v>
      </c>
      <c r="O26" s="12">
        <v>39814</v>
      </c>
    </row>
    <row r="27" spans="1:15" ht="45" x14ac:dyDescent="0.25">
      <c r="A27" s="17" t="s">
        <v>61</v>
      </c>
      <c r="B27" s="17" t="s">
        <v>59</v>
      </c>
      <c r="C27" s="17" t="s">
        <v>65</v>
      </c>
      <c r="D27" s="19" t="s">
        <v>63</v>
      </c>
      <c r="E27" s="19" t="s">
        <v>63</v>
      </c>
      <c r="F27" s="19" t="s">
        <v>63</v>
      </c>
      <c r="G27" s="19" t="s">
        <v>63</v>
      </c>
      <c r="H27" s="19" t="s">
        <v>63</v>
      </c>
      <c r="I27" s="19" t="s">
        <v>63</v>
      </c>
      <c r="J27" s="19" t="s">
        <v>63</v>
      </c>
      <c r="K27" s="19" t="s">
        <v>63</v>
      </c>
      <c r="L27" s="19" t="s">
        <v>63</v>
      </c>
      <c r="M27" s="19" t="s">
        <v>63</v>
      </c>
      <c r="N27" s="19" t="s">
        <v>63</v>
      </c>
      <c r="O27" s="12">
        <v>39814</v>
      </c>
    </row>
    <row r="28" spans="1:15" x14ac:dyDescent="0.25">
      <c r="A28" s="17" t="s">
        <v>66</v>
      </c>
      <c r="B28" s="18" t="s">
        <v>59</v>
      </c>
      <c r="C28" s="18" t="s">
        <v>67</v>
      </c>
      <c r="D28" s="19">
        <v>272000</v>
      </c>
      <c r="E28" s="20">
        <f>SUM(283647+4162)</f>
        <v>287809</v>
      </c>
      <c r="F28" s="9">
        <v>1</v>
      </c>
      <c r="G28" s="9">
        <v>0</v>
      </c>
      <c r="H28" s="9">
        <v>6</v>
      </c>
      <c r="I28" s="16">
        <v>6</v>
      </c>
      <c r="J28" s="30">
        <v>0</v>
      </c>
      <c r="K28" s="30">
        <v>0</v>
      </c>
      <c r="L28" s="19">
        <v>0</v>
      </c>
      <c r="M28" s="11">
        <v>53.1</v>
      </c>
      <c r="N28" s="11">
        <v>59.8</v>
      </c>
      <c r="O28" s="12">
        <v>40179</v>
      </c>
    </row>
    <row r="29" spans="1:15" ht="30" x14ac:dyDescent="0.25">
      <c r="A29" s="17" t="s">
        <v>68</v>
      </c>
      <c r="B29" s="18" t="s">
        <v>59</v>
      </c>
      <c r="C29" s="18" t="s">
        <v>69</v>
      </c>
      <c r="D29" s="19">
        <v>650000</v>
      </c>
      <c r="E29" s="19">
        <v>842500</v>
      </c>
      <c r="F29" s="9">
        <v>0</v>
      </c>
      <c r="G29" s="9">
        <v>0</v>
      </c>
      <c r="H29" s="9">
        <v>0</v>
      </c>
      <c r="I29" s="16">
        <v>0</v>
      </c>
      <c r="J29" s="30">
        <v>0</v>
      </c>
      <c r="K29" s="30">
        <v>0</v>
      </c>
      <c r="L29" s="19">
        <v>0</v>
      </c>
      <c r="M29" s="11">
        <v>470.68</v>
      </c>
      <c r="N29" s="11">
        <v>884.44</v>
      </c>
      <c r="O29" s="12">
        <v>40179</v>
      </c>
    </row>
    <row r="30" spans="1:15" ht="30" x14ac:dyDescent="0.25">
      <c r="A30" s="25" t="s">
        <v>70</v>
      </c>
      <c r="B30" s="5" t="s">
        <v>71</v>
      </c>
      <c r="C30" s="18" t="s">
        <v>72</v>
      </c>
      <c r="D30" s="19">
        <v>94000000</v>
      </c>
      <c r="E30" s="19">
        <f>SUM(191005110+19281211)</f>
        <v>210286321</v>
      </c>
      <c r="F30" s="32">
        <v>0</v>
      </c>
      <c r="G30" s="32">
        <v>0</v>
      </c>
      <c r="H30" s="32">
        <v>772</v>
      </c>
      <c r="I30" s="32">
        <v>31</v>
      </c>
      <c r="J30" s="32">
        <v>490</v>
      </c>
      <c r="K30" s="32">
        <v>251</v>
      </c>
      <c r="L30" s="19">
        <v>1229</v>
      </c>
      <c r="M30" s="26">
        <v>1537.9</v>
      </c>
      <c r="N30" s="26">
        <v>1254.8</v>
      </c>
      <c r="O30" s="35">
        <v>40179</v>
      </c>
    </row>
    <row r="31" spans="1:15" x14ac:dyDescent="0.25">
      <c r="A31" s="25" t="s">
        <v>73</v>
      </c>
      <c r="B31" s="5" t="s">
        <v>71</v>
      </c>
      <c r="C31" s="18" t="s">
        <v>74</v>
      </c>
      <c r="D31" s="19">
        <v>22000000</v>
      </c>
      <c r="E31" s="19">
        <v>29459544.100000001</v>
      </c>
      <c r="F31" s="32">
        <v>0</v>
      </c>
      <c r="G31" s="32">
        <v>0</v>
      </c>
      <c r="H31" s="32">
        <v>435</v>
      </c>
      <c r="I31" s="32">
        <v>204</v>
      </c>
      <c r="J31" s="32">
        <v>0</v>
      </c>
      <c r="K31" s="32">
        <v>231</v>
      </c>
      <c r="L31" s="19">
        <v>1687</v>
      </c>
      <c r="M31" s="26">
        <v>507.55</v>
      </c>
      <c r="N31" s="26">
        <v>644.51</v>
      </c>
      <c r="O31" s="35">
        <v>40909</v>
      </c>
    </row>
    <row r="32" spans="1:15" ht="30" x14ac:dyDescent="0.25">
      <c r="A32" s="25" t="s">
        <v>75</v>
      </c>
      <c r="B32" s="25" t="s">
        <v>76</v>
      </c>
      <c r="C32" s="17" t="s">
        <v>77</v>
      </c>
      <c r="D32" s="19">
        <v>50000000</v>
      </c>
      <c r="E32" s="20">
        <f>SUM(188126850+380870+1129831)</f>
        <v>189637551</v>
      </c>
      <c r="F32" s="9">
        <v>150</v>
      </c>
      <c r="G32" s="9">
        <v>0</v>
      </c>
      <c r="H32" s="9">
        <v>205</v>
      </c>
      <c r="I32" s="9">
        <v>12</v>
      </c>
      <c r="J32" s="9">
        <v>14</v>
      </c>
      <c r="K32" s="30">
        <v>179</v>
      </c>
      <c r="L32" s="19">
        <v>1002</v>
      </c>
      <c r="M32" s="26">
        <v>1593.94</v>
      </c>
      <c r="N32" s="26">
        <v>1634.91</v>
      </c>
      <c r="O32" s="12">
        <v>40179</v>
      </c>
    </row>
    <row r="33" spans="1:15" x14ac:dyDescent="0.25">
      <c r="A33" s="25" t="s">
        <v>78</v>
      </c>
      <c r="B33" s="25" t="s">
        <v>79</v>
      </c>
      <c r="C33" s="17" t="s">
        <v>80</v>
      </c>
      <c r="D33" s="19">
        <v>1050000</v>
      </c>
      <c r="E33" s="19">
        <v>2258217</v>
      </c>
      <c r="F33" s="9">
        <v>0</v>
      </c>
      <c r="G33" s="9">
        <v>0</v>
      </c>
      <c r="H33" s="9">
        <v>205</v>
      </c>
      <c r="I33" s="9">
        <v>0</v>
      </c>
      <c r="J33" s="9">
        <v>305</v>
      </c>
      <c r="K33" s="30">
        <v>-100</v>
      </c>
      <c r="L33" s="19">
        <v>0</v>
      </c>
      <c r="M33" s="26">
        <v>13.35</v>
      </c>
      <c r="N33" s="26">
        <v>46.5</v>
      </c>
      <c r="O33" s="12">
        <v>40179</v>
      </c>
    </row>
    <row r="34" spans="1:15" ht="30" x14ac:dyDescent="0.25">
      <c r="A34" s="24" t="s">
        <v>81</v>
      </c>
      <c r="B34" s="25" t="s">
        <v>82</v>
      </c>
      <c r="C34" s="17" t="s">
        <v>83</v>
      </c>
      <c r="D34" s="19">
        <v>0</v>
      </c>
      <c r="E34" s="19">
        <v>11862086</v>
      </c>
      <c r="F34" s="9">
        <v>0</v>
      </c>
      <c r="G34" s="9">
        <v>0</v>
      </c>
      <c r="H34" s="9">
        <v>15</v>
      </c>
      <c r="I34" s="9">
        <v>3</v>
      </c>
      <c r="J34" s="9">
        <v>8</v>
      </c>
      <c r="K34" s="32">
        <v>4</v>
      </c>
      <c r="L34" s="19">
        <v>1000</v>
      </c>
      <c r="M34" s="9">
        <v>918.92</v>
      </c>
      <c r="N34" s="9">
        <v>798</v>
      </c>
      <c r="O34" s="12">
        <v>39814</v>
      </c>
    </row>
    <row r="35" spans="1:15" x14ac:dyDescent="0.25">
      <c r="A35" s="17" t="s">
        <v>84</v>
      </c>
      <c r="B35" s="25" t="s">
        <v>85</v>
      </c>
      <c r="C35" s="17" t="s">
        <v>86</v>
      </c>
      <c r="D35" s="19">
        <v>10000000</v>
      </c>
      <c r="E35" s="19">
        <f>SUM(19030123+6008926)</f>
        <v>25039049</v>
      </c>
      <c r="F35" s="9">
        <v>0</v>
      </c>
      <c r="G35" s="9">
        <v>0</v>
      </c>
      <c r="H35" s="9">
        <v>1</v>
      </c>
      <c r="I35" s="9">
        <v>0</v>
      </c>
      <c r="J35" s="9">
        <v>8</v>
      </c>
      <c r="K35" s="30">
        <v>-7</v>
      </c>
      <c r="L35" s="19">
        <v>0</v>
      </c>
      <c r="M35" s="11">
        <v>70</v>
      </c>
      <c r="N35" s="11">
        <v>51.06</v>
      </c>
      <c r="O35" s="12">
        <v>40909</v>
      </c>
    </row>
    <row r="36" spans="1:15" ht="30" x14ac:dyDescent="0.25">
      <c r="A36" s="17" t="s">
        <v>87</v>
      </c>
      <c r="B36" s="25" t="s">
        <v>87</v>
      </c>
      <c r="C36" s="17" t="s">
        <v>88</v>
      </c>
      <c r="D36" s="19">
        <v>302000</v>
      </c>
      <c r="E36" s="19">
        <v>723915</v>
      </c>
      <c r="F36" s="9">
        <v>6</v>
      </c>
      <c r="G36" s="9">
        <v>0</v>
      </c>
      <c r="H36" s="9">
        <v>27</v>
      </c>
      <c r="I36" s="9">
        <v>12</v>
      </c>
      <c r="J36" s="9">
        <v>15</v>
      </c>
      <c r="K36" s="30">
        <v>0</v>
      </c>
      <c r="L36" s="19">
        <v>800</v>
      </c>
      <c r="M36" s="11">
        <v>3.02</v>
      </c>
      <c r="N36" s="11">
        <v>3.02</v>
      </c>
      <c r="O36" s="12">
        <v>39814</v>
      </c>
    </row>
    <row r="37" spans="1:15" x14ac:dyDescent="0.25">
      <c r="A37" s="17" t="s">
        <v>89</v>
      </c>
      <c r="B37" s="25" t="s">
        <v>90</v>
      </c>
      <c r="C37" s="17" t="s">
        <v>91</v>
      </c>
      <c r="D37" s="19">
        <v>0</v>
      </c>
      <c r="E37" s="19">
        <f>SUM(6692268.06+2700166.4)</f>
        <v>9392434.459999999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21">
        <v>105.14</v>
      </c>
      <c r="N37" s="21">
        <v>460.26</v>
      </c>
      <c r="O37" s="12">
        <v>39448</v>
      </c>
    </row>
    <row r="38" spans="1:15" ht="30" x14ac:dyDescent="0.25">
      <c r="A38" s="17" t="s">
        <v>92</v>
      </c>
      <c r="B38" s="25" t="s">
        <v>90</v>
      </c>
      <c r="C38" s="17" t="s">
        <v>93</v>
      </c>
      <c r="D38" s="19">
        <v>0</v>
      </c>
      <c r="E38" s="19">
        <f>SUM(5119952+2007142+85000)</f>
        <v>7212094</v>
      </c>
      <c r="F38" s="9">
        <v>0</v>
      </c>
      <c r="G38" s="9">
        <v>0</v>
      </c>
      <c r="H38" s="9">
        <v>6</v>
      </c>
      <c r="I38" s="9">
        <v>2</v>
      </c>
      <c r="J38" s="9">
        <v>0</v>
      </c>
      <c r="K38" s="30">
        <v>4</v>
      </c>
      <c r="L38" s="19">
        <v>860</v>
      </c>
      <c r="M38" s="21">
        <v>1469.21</v>
      </c>
      <c r="N38" s="21">
        <v>1838.96</v>
      </c>
      <c r="O38" s="12">
        <v>39814</v>
      </c>
    </row>
    <row r="39" spans="1:15" ht="30" x14ac:dyDescent="0.25">
      <c r="A39" s="14" t="s">
        <v>94</v>
      </c>
      <c r="B39" s="5" t="s">
        <v>95</v>
      </c>
      <c r="C39" s="14" t="s">
        <v>96</v>
      </c>
      <c r="D39" s="19">
        <v>400000000</v>
      </c>
      <c r="E39" s="19">
        <v>467650317</v>
      </c>
      <c r="F39" s="9" t="s">
        <v>97</v>
      </c>
      <c r="G39" s="9" t="s">
        <v>97</v>
      </c>
      <c r="H39" s="9" t="s">
        <v>97</v>
      </c>
      <c r="I39" s="9" t="s">
        <v>97</v>
      </c>
      <c r="J39" s="9" t="s">
        <v>97</v>
      </c>
      <c r="K39" s="9" t="s">
        <v>97</v>
      </c>
      <c r="L39" s="9" t="s">
        <v>97</v>
      </c>
      <c r="M39" s="9" t="s">
        <v>97</v>
      </c>
      <c r="N39" s="9" t="s">
        <v>97</v>
      </c>
      <c r="O39" s="12">
        <v>40544</v>
      </c>
    </row>
    <row r="40" spans="1:15" ht="30" x14ac:dyDescent="0.25">
      <c r="A40" s="15" t="s">
        <v>98</v>
      </c>
      <c r="B40" s="5" t="s">
        <v>95</v>
      </c>
      <c r="C40" s="14" t="s">
        <v>99</v>
      </c>
      <c r="D40" s="19">
        <v>75000000</v>
      </c>
      <c r="E40" s="19">
        <f>SUM(30021452.15+34820464)</f>
        <v>64841916.149999999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30">
        <v>0</v>
      </c>
      <c r="L40" s="19">
        <v>0</v>
      </c>
      <c r="M40" s="11" t="s">
        <v>27</v>
      </c>
      <c r="N40" s="11" t="s">
        <v>27</v>
      </c>
      <c r="O40" s="12">
        <v>40909</v>
      </c>
    </row>
    <row r="41" spans="1:15" x14ac:dyDescent="0.25">
      <c r="A41" s="36" t="s">
        <v>100</v>
      </c>
      <c r="B41" s="5" t="s">
        <v>101</v>
      </c>
      <c r="C41" s="17" t="s">
        <v>102</v>
      </c>
      <c r="D41" s="19" t="s">
        <v>35</v>
      </c>
      <c r="E41" s="19" t="s">
        <v>35</v>
      </c>
      <c r="F41" s="19" t="s">
        <v>35</v>
      </c>
      <c r="G41" s="19" t="s">
        <v>35</v>
      </c>
      <c r="H41" s="19" t="s">
        <v>35</v>
      </c>
      <c r="I41" s="19" t="s">
        <v>35</v>
      </c>
      <c r="J41" s="19" t="s">
        <v>35</v>
      </c>
      <c r="K41" s="19" t="s">
        <v>35</v>
      </c>
      <c r="L41" s="19" t="s">
        <v>35</v>
      </c>
      <c r="M41" s="19" t="s">
        <v>35</v>
      </c>
      <c r="N41" s="19" t="s">
        <v>35</v>
      </c>
      <c r="O41" s="12">
        <v>40179</v>
      </c>
    </row>
    <row r="42" spans="1:15" x14ac:dyDescent="0.25">
      <c r="A42" s="25" t="s">
        <v>100</v>
      </c>
      <c r="B42" s="5" t="s">
        <v>101</v>
      </c>
      <c r="C42" s="17" t="s">
        <v>103</v>
      </c>
      <c r="D42" s="19">
        <v>16000000</v>
      </c>
      <c r="E42" s="19">
        <v>33633114</v>
      </c>
      <c r="F42" s="9">
        <v>27</v>
      </c>
      <c r="G42" s="9">
        <v>14</v>
      </c>
      <c r="H42" s="9">
        <v>28</v>
      </c>
      <c r="I42" s="9">
        <v>0</v>
      </c>
      <c r="J42" s="9">
        <v>14</v>
      </c>
      <c r="K42" s="30">
        <v>14</v>
      </c>
      <c r="L42" s="37">
        <v>827</v>
      </c>
      <c r="M42" s="9">
        <v>41.85</v>
      </c>
      <c r="N42" s="9">
        <v>60.66</v>
      </c>
      <c r="O42" s="12">
        <v>41275</v>
      </c>
    </row>
    <row r="43" spans="1:15" ht="30" x14ac:dyDescent="0.25">
      <c r="A43" s="17" t="s">
        <v>104</v>
      </c>
      <c r="B43" s="17" t="s">
        <v>41</v>
      </c>
      <c r="C43" s="17" t="s">
        <v>105</v>
      </c>
      <c r="D43" s="19">
        <v>95000000</v>
      </c>
      <c r="E43" s="19">
        <f>SUM(44508681+64825804.76+97433805.54)</f>
        <v>206768291.30000001</v>
      </c>
      <c r="F43" s="9">
        <v>400</v>
      </c>
      <c r="G43" s="9">
        <v>0</v>
      </c>
      <c r="H43" s="9">
        <v>466</v>
      </c>
      <c r="I43" s="9">
        <v>14</v>
      </c>
      <c r="J43" s="9">
        <v>0</v>
      </c>
      <c r="K43" s="30">
        <v>452</v>
      </c>
      <c r="L43" s="8">
        <v>1000</v>
      </c>
      <c r="M43" s="21" t="s">
        <v>27</v>
      </c>
      <c r="N43" s="21" t="s">
        <v>27</v>
      </c>
      <c r="O43" s="38">
        <v>2017</v>
      </c>
    </row>
  </sheetData>
  <printOptions horizontalCentered="1"/>
  <pageMargins left="0.25" right="0.25" top="0.75" bottom="0.75" header="0.3" footer="0.3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Specific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Bakkal (MEDC)</dc:creator>
  <cp:lastModifiedBy>Childs, Derek (DTMB)</cp:lastModifiedBy>
  <dcterms:created xsi:type="dcterms:W3CDTF">2019-12-30T07:01:06Z</dcterms:created>
  <dcterms:modified xsi:type="dcterms:W3CDTF">2020-01-06T15:35:49Z</dcterms:modified>
</cp:coreProperties>
</file>